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epe\GoogleDriveREGE\"/>
    </mc:Choice>
  </mc:AlternateContent>
  <xr:revisionPtr revIDLastSave="0" documentId="13_ncr:1_{28E95B4E-A1AB-454C-850E-C49ECB78E327}" xr6:coauthVersionLast="47" xr6:coauthVersionMax="47" xr10:uidLastSave="{00000000-0000-0000-0000-000000000000}"/>
  <bookViews>
    <workbookView xWindow="-98" yWindow="-98" windowWidth="28996" windowHeight="15675" xr2:uid="{2FF3BD07-06D6-43DE-92AC-20F418DA11A4}"/>
  </bookViews>
  <sheets>
    <sheet name="Berechnung" sheetId="1" r:id="rId1"/>
  </sheets>
  <definedNames>
    <definedName name="Arbeitspreis">Berechnung!$B$56</definedName>
    <definedName name="ArbeitspreisStrompreisbremse">Berechnung!$B$62</definedName>
    <definedName name="EAbgabe">Berechnung!$B$64</definedName>
    <definedName name="Grundpauschale">Berechnung!$B$60</definedName>
    <definedName name="jahresverbrauch">Berechnung!$B$6</definedName>
    <definedName name="Netzentgelt">Berechnung!$B$9</definedName>
    <definedName name="REGEAnteil">Berechnung!$B$11</definedName>
    <definedName name="REGEArbeitspreis">Berechnung!$B$57</definedName>
    <definedName name="REGEGrundpauschale">Berechnung!$B$17</definedName>
    <definedName name="REGENetzentgelt">Berechnung!$B$19</definedName>
    <definedName name="USt">Berechnung!$B$65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B19" i="1"/>
  <c r="B9" i="1"/>
  <c r="B56" i="1"/>
  <c r="B62" i="1" s="1"/>
  <c r="B57" i="1"/>
  <c r="B59" i="1"/>
  <c r="B60" i="1" s="1"/>
  <c r="B51" i="1"/>
  <c r="E51" i="1"/>
  <c r="C51" i="1" s="1"/>
  <c r="D26" i="1"/>
  <c r="D27" i="1" s="1"/>
  <c r="B52" i="1"/>
  <c r="B50" i="1"/>
  <c r="E50" i="1"/>
  <c r="C50" i="1" s="1"/>
  <c r="E52" i="1"/>
  <c r="C52" i="1" s="1"/>
  <c r="E33" i="1"/>
  <c r="D35" i="1" l="1"/>
  <c r="D33" i="1"/>
  <c r="C33" i="1" s="1"/>
  <c r="B33" i="1"/>
  <c r="B26" i="1"/>
  <c r="B35" i="1" s="1"/>
  <c r="E26" i="1"/>
  <c r="E35" i="1" s="1"/>
  <c r="D37" i="1"/>
  <c r="C37" i="1" s="1"/>
  <c r="B27" i="1" l="1"/>
  <c r="B32" i="1" s="1"/>
  <c r="C35" i="1"/>
  <c r="E28" i="1"/>
  <c r="B37" i="1"/>
  <c r="E31" i="1"/>
  <c r="C26" i="1"/>
  <c r="B28" i="1" l="1"/>
  <c r="B31" i="1" s="1"/>
  <c r="B38" i="1" s="1"/>
  <c r="B40" i="1" s="1"/>
  <c r="B41" i="1" s="1"/>
  <c r="B43" i="1" s="1"/>
  <c r="C27" i="1"/>
  <c r="D32" i="1"/>
  <c r="C32" i="1" s="1"/>
  <c r="D28" i="1"/>
  <c r="E38" i="1"/>
  <c r="E40" i="1" s="1"/>
  <c r="E41" i="1" s="1"/>
  <c r="E43" i="1" s="1"/>
  <c r="D31" i="1" l="1"/>
  <c r="C28" i="1"/>
  <c r="D38" i="1" l="1"/>
  <c r="C31" i="1"/>
  <c r="D40" i="1" l="1"/>
  <c r="C40" i="1" s="1"/>
  <c r="C38" i="1"/>
  <c r="D41" i="1" l="1"/>
  <c r="D43" i="1" s="1"/>
  <c r="C41" i="1" l="1"/>
  <c r="B45" i="1" l="1"/>
  <c r="C43" i="1"/>
  <c r="B21" i="1" l="1"/>
  <c r="A21" i="1"/>
  <c r="A45" i="1"/>
</calcChain>
</file>

<file path=xl/sharedStrings.xml><?xml version="1.0" encoding="utf-8"?>
<sst xmlns="http://schemas.openxmlformats.org/spreadsheetml/2006/main" count="70" uniqueCount="52">
  <si>
    <t>Anteil Bezug aus REGE</t>
  </si>
  <si>
    <t>€/Jahr</t>
  </si>
  <si>
    <t>kWh</t>
  </si>
  <si>
    <t>Jahresverbrauch</t>
  </si>
  <si>
    <t>Arbeitspreis netto</t>
  </si>
  <si>
    <t>bisher</t>
  </si>
  <si>
    <t>neu</t>
  </si>
  <si>
    <t>Lieferant</t>
  </si>
  <si>
    <t>Strompreis</t>
  </si>
  <si>
    <t>Arbeitspreis</t>
  </si>
  <si>
    <t>€/kWh</t>
  </si>
  <si>
    <t>Grundpauschale</t>
  </si>
  <si>
    <t>Netzpreis</t>
  </si>
  <si>
    <t>Steuern</t>
  </si>
  <si>
    <t>Elektrizitätsabgabe</t>
  </si>
  <si>
    <t>Umsatzsteuer 20%</t>
  </si>
  <si>
    <t>Gesamt brutto/Jahr</t>
  </si>
  <si>
    <t>Netzentgelt ges.</t>
  </si>
  <si>
    <t>USt.-Satz</t>
  </si>
  <si>
    <t>Gesamt netto/Jahr</t>
  </si>
  <si>
    <t>E-Abgabe</t>
  </si>
  <si>
    <t>REGE Netzentgelt</t>
  </si>
  <si>
    <t>Netznutzung</t>
  </si>
  <si>
    <t>Netzverlust</t>
  </si>
  <si>
    <t>EEG-Reduktion</t>
  </si>
  <si>
    <t>REGE Aufschlag auf Marktpreis</t>
  </si>
  <si>
    <t>Beispielrechnung - REGE</t>
  </si>
  <si>
    <t>Gesamt in € pro kWh</t>
  </si>
  <si>
    <t>Grundpreis netto</t>
  </si>
  <si>
    <t>Arbeitspreis brutto</t>
  </si>
  <si>
    <t>Grundpreis brutto</t>
  </si>
  <si>
    <t>Arbeitspreis Strompreisbremse</t>
  </si>
  <si>
    <t>Strompreisbremse</t>
  </si>
  <si>
    <t>Restverbrauch</t>
  </si>
  <si>
    <t>Tarifbeispiele (27.03.2023)</t>
  </si>
  <si>
    <t>Energie AG - Bestandskunden</t>
  </si>
  <si>
    <t>Energie AG - Neukunden</t>
  </si>
  <si>
    <t>Verbund-Strom - Neukunden</t>
  </si>
  <si>
    <t>Die gelb markierten Felder können ausgefüllt werden</t>
  </si>
  <si>
    <t>Jahresstromverbrauch</t>
  </si>
  <si>
    <t>Grundpauschale brutto (in €)</t>
  </si>
  <si>
    <t>Grundpauschale netto (in €)</t>
  </si>
  <si>
    <t>€/Monat</t>
  </si>
  <si>
    <t>Arbeitspreis in Cent / kWh brutto</t>
  </si>
  <si>
    <t>ct/kWh</t>
  </si>
  <si>
    <t>Grundpauschale in Euro / Monat brutto</t>
  </si>
  <si>
    <t>REGE Grundpauschale (Mitgliedsgebühr pro Jahr)</t>
  </si>
  <si>
    <t>REGE Arbeitspreis netto</t>
  </si>
  <si>
    <t>Netzentgelt gesamt (Netz OÖ)</t>
  </si>
  <si>
    <t>Ihr tatsächlicher Anteil hängt vom verfügbaren Strom und Ihrem Lastprofil ab.</t>
  </si>
  <si>
    <t>Detailberechnung</t>
  </si>
  <si>
    <t>Marktpreis gemäß § 41 Ökostromgesetz 2012 für Q1/2024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</si>
</sst>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0.00000"/>
    <numFmt numFmtId="167" formatCode="_-* #,##0.00000_-;\-* #,##0.00000_-;_-* &quot;-&quot;??_-;_-@_-"/>
    <numFmt numFmtId="168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43" fontId="0" fillId="0" borderId="0" xfId="1" applyFont="1" applyFill="1" applyProtection="1"/>
    <xf numFmtId="164" fontId="0" fillId="0" borderId="7" xfId="1" applyNumberFormat="1" applyFont="1" applyBorder="1" applyProtection="1"/>
    <xf numFmtId="164" fontId="0" fillId="0" borderId="0" xfId="1" applyNumberFormat="1" applyFont="1" applyBorder="1" applyProtection="1"/>
    <xf numFmtId="164" fontId="0" fillId="0" borderId="3" xfId="1" applyNumberFormat="1" applyFont="1" applyBorder="1" applyProtection="1"/>
    <xf numFmtId="43" fontId="0" fillId="0" borderId="7" xfId="1" applyFont="1" applyBorder="1" applyProtection="1"/>
    <xf numFmtId="43" fontId="0" fillId="0" borderId="0" xfId="1" applyFont="1" applyBorder="1" applyProtection="1"/>
    <xf numFmtId="43" fontId="0" fillId="0" borderId="3" xfId="1" applyFont="1" applyBorder="1" applyProtection="1"/>
    <xf numFmtId="43" fontId="2" fillId="0" borderId="7" xfId="1" applyFont="1" applyBorder="1" applyProtection="1"/>
    <xf numFmtId="43" fontId="2" fillId="0" borderId="0" xfId="1" applyFont="1" applyBorder="1" applyProtection="1"/>
    <xf numFmtId="43" fontId="1" fillId="0" borderId="7" xfId="1" applyFont="1" applyBorder="1" applyProtection="1"/>
    <xf numFmtId="43" fontId="1" fillId="0" borderId="3" xfId="1" applyFont="1" applyBorder="1" applyProtection="1"/>
    <xf numFmtId="165" fontId="2" fillId="0" borderId="7" xfId="1" applyNumberFormat="1" applyFont="1" applyBorder="1" applyProtection="1"/>
    <xf numFmtId="165" fontId="2" fillId="0" borderId="0" xfId="1" applyNumberFormat="1" applyFont="1" applyBorder="1" applyProtection="1"/>
    <xf numFmtId="165" fontId="1" fillId="0" borderId="7" xfId="1" applyNumberFormat="1" applyFont="1" applyBorder="1" applyProtection="1"/>
    <xf numFmtId="165" fontId="1" fillId="0" borderId="3" xfId="1" applyNumberFormat="1" applyFont="1" applyBorder="1" applyProtection="1"/>
    <xf numFmtId="43" fontId="2" fillId="0" borderId="8" xfId="1" applyFont="1" applyBorder="1" applyProtection="1"/>
    <xf numFmtId="43" fontId="0" fillId="0" borderId="5" xfId="1" applyFont="1" applyBorder="1" applyProtection="1"/>
    <xf numFmtId="43" fontId="0" fillId="0" borderId="8" xfId="1" applyFont="1" applyBorder="1" applyProtection="1"/>
    <xf numFmtId="43" fontId="0" fillId="0" borderId="6" xfId="1" applyFont="1" applyBorder="1" applyProtection="1"/>
    <xf numFmtId="43" fontId="0" fillId="0" borderId="0" xfId="1" applyFont="1" applyProtection="1"/>
    <xf numFmtId="167" fontId="0" fillId="0" borderId="0" xfId="1" applyNumberFormat="1" applyFont="1" applyProtection="1"/>
    <xf numFmtId="167" fontId="0" fillId="0" borderId="7" xfId="1" applyNumberFormat="1" applyFont="1" applyBorder="1" applyProtection="1"/>
    <xf numFmtId="167" fontId="0" fillId="0" borderId="8" xfId="1" applyNumberFormat="1" applyFont="1" applyBorder="1" applyProtection="1"/>
    <xf numFmtId="164" fontId="5" fillId="2" borderId="0" xfId="1" applyNumberFormat="1" applyFont="1" applyFill="1" applyProtection="1">
      <protection locked="0"/>
    </xf>
    <xf numFmtId="43" fontId="5" fillId="2" borderId="0" xfId="1" applyFont="1" applyFill="1" applyProtection="1">
      <protection locked="0"/>
    </xf>
    <xf numFmtId="167" fontId="0" fillId="3" borderId="0" xfId="1" applyNumberFormat="1" applyFont="1" applyFill="1" applyProtection="1"/>
    <xf numFmtId="0" fontId="5" fillId="0" borderId="0" xfId="0" applyFont="1"/>
    <xf numFmtId="9" fontId="0" fillId="0" borderId="0" xfId="0" applyNumberFormat="1"/>
    <xf numFmtId="0" fontId="6" fillId="0" borderId="0" xfId="3" applyProtection="1"/>
    <xf numFmtId="165" fontId="0" fillId="0" borderId="0" xfId="1" applyNumberFormat="1" applyFont="1" applyFill="1" applyProtection="1"/>
    <xf numFmtId="168" fontId="0" fillId="0" borderId="0" xfId="0" applyNumberFormat="1"/>
    <xf numFmtId="0" fontId="7" fillId="0" borderId="0" xfId="0" applyFont="1"/>
    <xf numFmtId="43" fontId="7" fillId="0" borderId="0" xfId="0" applyNumberFormat="1" applyFont="1"/>
    <xf numFmtId="0" fontId="2" fillId="0" borderId="0" xfId="0" applyFont="1"/>
    <xf numFmtId="0" fontId="0" fillId="0" borderId="9" xfId="0" applyBorder="1"/>
    <xf numFmtId="0" fontId="2" fillId="0" borderId="1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2" fillId="0" borderId="2" xfId="0" applyFont="1" applyBorder="1"/>
    <xf numFmtId="0" fontId="2" fillId="0" borderId="4" xfId="0" applyFont="1" applyBorder="1"/>
    <xf numFmtId="0" fontId="0" fillId="0" borderId="8" xfId="0" applyBorder="1"/>
    <xf numFmtId="0" fontId="2" fillId="0" borderId="1" xfId="0" applyFont="1" applyBorder="1"/>
    <xf numFmtId="0" fontId="2" fillId="0" borderId="11" xfId="0" applyFont="1" applyBorder="1"/>
    <xf numFmtId="0" fontId="0" fillId="0" borderId="4" xfId="0" applyBorder="1"/>
    <xf numFmtId="0" fontId="0" fillId="3" borderId="0" xfId="0" applyFill="1"/>
    <xf numFmtId="43" fontId="0" fillId="3" borderId="0" xfId="1" applyFont="1" applyFill="1" applyProtection="1"/>
    <xf numFmtId="166" fontId="0" fillId="3" borderId="0" xfId="0" applyNumberFormat="1" applyFill="1"/>
    <xf numFmtId="9" fontId="0" fillId="3" borderId="0" xfId="0" applyNumberFormat="1" applyFill="1"/>
    <xf numFmtId="9" fontId="5" fillId="2" borderId="0" xfId="2" applyFont="1" applyFill="1" applyProtection="1">
      <protection locked="0"/>
    </xf>
    <xf numFmtId="9" fontId="0" fillId="0" borderId="0" xfId="2" applyFont="1" applyFill="1" applyProtection="1">
      <protection locked="0"/>
    </xf>
    <xf numFmtId="43" fontId="0" fillId="0" borderId="0" xfId="0" applyNumberFormat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</cellXfs>
  <cellStyles count="4">
    <cellStyle name="Komma" xfId="1" builtinId="3"/>
    <cellStyle name="Link" xfId="3" builtinId="8"/>
    <cellStyle name="Prozent" xfId="2" builtinId="5"/>
    <cellStyle name="Standard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control.at/marktteilnehmer/oeko-energie/marktpre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26122-948E-4F8B-B381-B9660523A07B}">
  <sheetPr>
    <pageSetUpPr fitToPage="1"/>
  </sheetPr>
  <dimension ref="A1:P68"/>
  <sheetViews>
    <sheetView tabSelected="1" zoomScaleNormal="100" workbookViewId="0">
      <selection activeCell="B6" sqref="B6"/>
    </sheetView>
  </sheetViews>
  <sheetFormatPr baseColWidth="10" defaultRowHeight="14.25" x14ac:dyDescent="0.45"/>
  <cols>
    <col min="1" max="1" width="50.265625" customWidth="1"/>
    <col min="2" max="5" width="16.1328125" customWidth="1"/>
    <col min="6" max="6" width="8.265625" customWidth="1"/>
  </cols>
  <sheetData>
    <row r="1" spans="1:16" ht="23.25" x14ac:dyDescent="0.7">
      <c r="A1" s="56" t="s">
        <v>26</v>
      </c>
      <c r="B1" s="56"/>
      <c r="C1" s="56"/>
      <c r="D1" s="56"/>
      <c r="E1" s="56"/>
      <c r="F1" s="56"/>
    </row>
    <row r="4" spans="1:16" ht="15.75" x14ac:dyDescent="0.5">
      <c r="A4" s="57" t="s">
        <v>38</v>
      </c>
      <c r="B4" s="57"/>
      <c r="C4" s="57"/>
    </row>
    <row r="6" spans="1:16" ht="18" x14ac:dyDescent="0.55000000000000004">
      <c r="A6" s="27" t="s">
        <v>39</v>
      </c>
      <c r="B6" s="24">
        <v>5000</v>
      </c>
      <c r="C6" s="27" t="s">
        <v>2</v>
      </c>
    </row>
    <row r="7" spans="1:16" ht="18" x14ac:dyDescent="0.55000000000000004">
      <c r="A7" s="27" t="s">
        <v>43</v>
      </c>
      <c r="B7" s="25">
        <v>26.14</v>
      </c>
      <c r="C7" s="27" t="s">
        <v>44</v>
      </c>
    </row>
    <row r="8" spans="1:16" ht="18" x14ac:dyDescent="0.55000000000000004">
      <c r="A8" s="27" t="s">
        <v>45</v>
      </c>
      <c r="B8" s="25">
        <v>3.9</v>
      </c>
      <c r="C8" s="27" t="s">
        <v>42</v>
      </c>
    </row>
    <row r="9" spans="1:16" x14ac:dyDescent="0.45">
      <c r="A9" t="s">
        <v>48</v>
      </c>
      <c r="B9">
        <f>100*(B66+B68)</f>
        <v>5.7140000000000004</v>
      </c>
      <c r="C9" t="s">
        <v>44</v>
      </c>
    </row>
    <row r="11" spans="1:16" ht="18" x14ac:dyDescent="0.55000000000000004">
      <c r="A11" s="27" t="s">
        <v>0</v>
      </c>
      <c r="B11" s="53">
        <v>0.2</v>
      </c>
      <c r="C11" s="27"/>
      <c r="P11" s="28"/>
    </row>
    <row r="12" spans="1:16" x14ac:dyDescent="0.45">
      <c r="A12" t="s">
        <v>49</v>
      </c>
      <c r="B12" s="54"/>
      <c r="P12" s="28"/>
    </row>
    <row r="13" spans="1:16" x14ac:dyDescent="0.45">
      <c r="P13" s="28"/>
    </row>
    <row r="14" spans="1:16" x14ac:dyDescent="0.45">
      <c r="A14" s="29" t="s">
        <v>51</v>
      </c>
      <c r="B14" s="30">
        <v>9.6259999999999994</v>
      </c>
      <c r="C14" t="s">
        <v>44</v>
      </c>
      <c r="P14" s="28"/>
    </row>
    <row r="15" spans="1:16" x14ac:dyDescent="0.45">
      <c r="A15" s="29"/>
      <c r="B15" s="30"/>
      <c r="P15" s="28"/>
    </row>
    <row r="16" spans="1:16" x14ac:dyDescent="0.45">
      <c r="A16" t="s">
        <v>25</v>
      </c>
      <c r="B16" s="1">
        <v>3</v>
      </c>
      <c r="C16" t="s">
        <v>44</v>
      </c>
      <c r="P16" s="28"/>
    </row>
    <row r="17" spans="1:16" x14ac:dyDescent="0.45">
      <c r="A17" t="s">
        <v>46</v>
      </c>
      <c r="B17" s="1">
        <v>0</v>
      </c>
      <c r="C17" t="s">
        <v>1</v>
      </c>
      <c r="P17" s="28"/>
    </row>
    <row r="18" spans="1:16" x14ac:dyDescent="0.45">
      <c r="A18" t="s">
        <v>24</v>
      </c>
      <c r="B18" s="28">
        <v>0.28000000000000003</v>
      </c>
      <c r="P18" s="28"/>
    </row>
    <row r="19" spans="1:16" x14ac:dyDescent="0.45">
      <c r="A19" t="s">
        <v>21</v>
      </c>
      <c r="B19" s="31">
        <f>100*(B66*(1-B18)+B68)</f>
        <v>4.2804000000000002</v>
      </c>
      <c r="C19" t="s">
        <v>44</v>
      </c>
    </row>
    <row r="21" spans="1:16" ht="18" x14ac:dyDescent="0.55000000000000004">
      <c r="A21" s="32" t="str">
        <f>CONCATENATE("Ihre ",IF(B45&gt;0,"Ersparnis","Mehrkosten")," brutto/Jahr")</f>
        <v>Ihre Ersparnis brutto/Jahr</v>
      </c>
      <c r="B21" s="33">
        <f>B45</f>
        <v>128.29120000000012</v>
      </c>
      <c r="C21" s="32" t="s">
        <v>1</v>
      </c>
    </row>
    <row r="24" spans="1:16" ht="14.65" thickBot="1" x14ac:dyDescent="0.5">
      <c r="A24" s="34" t="s">
        <v>50</v>
      </c>
    </row>
    <row r="25" spans="1:16" ht="14.65" thickBot="1" x14ac:dyDescent="0.5">
      <c r="A25" s="35"/>
      <c r="B25" s="36" t="s">
        <v>5</v>
      </c>
      <c r="C25" s="37" t="s">
        <v>6</v>
      </c>
      <c r="D25" s="38" t="s">
        <v>7</v>
      </c>
      <c r="E25" s="39" t="str">
        <f>CONCATENATE("REGE (",(REGEAnteil*100),"%)")</f>
        <v>REGE (20%)</v>
      </c>
      <c r="F25" s="40"/>
    </row>
    <row r="26" spans="1:16" x14ac:dyDescent="0.45">
      <c r="A26" s="41" t="s">
        <v>3</v>
      </c>
      <c r="B26" s="2">
        <f>jahresverbrauch</f>
        <v>5000</v>
      </c>
      <c r="C26" s="3">
        <f>D26+E26</f>
        <v>5000</v>
      </c>
      <c r="D26" s="2">
        <f>jahresverbrauch*(1-REGEAnteil)</f>
        <v>4000</v>
      </c>
      <c r="E26" s="4">
        <f>jahresverbrauch*REGEAnteil</f>
        <v>1000</v>
      </c>
      <c r="F26" s="42" t="s">
        <v>2</v>
      </c>
    </row>
    <row r="27" spans="1:16" x14ac:dyDescent="0.45">
      <c r="A27" s="41" t="s">
        <v>32</v>
      </c>
      <c r="B27" s="2">
        <f>IF(B26&gt;2900,2900,B26)</f>
        <v>2900</v>
      </c>
      <c r="C27" s="3">
        <f>D27+E27</f>
        <v>2900</v>
      </c>
      <c r="D27" s="2">
        <f>IF(D26&gt;2900,2900,D26)</f>
        <v>2900</v>
      </c>
      <c r="E27" s="4"/>
      <c r="F27" s="42" t="s">
        <v>2</v>
      </c>
    </row>
    <row r="28" spans="1:16" x14ac:dyDescent="0.45">
      <c r="A28" s="41" t="s">
        <v>33</v>
      </c>
      <c r="B28" s="2">
        <f>B26-B27</f>
        <v>2100</v>
      </c>
      <c r="C28" s="3">
        <f>D28+E28</f>
        <v>2100</v>
      </c>
      <c r="D28" s="2">
        <f>D26-D27</f>
        <v>1100</v>
      </c>
      <c r="E28" s="2">
        <f>E26-E27</f>
        <v>1000</v>
      </c>
      <c r="F28" s="42" t="s">
        <v>2</v>
      </c>
    </row>
    <row r="29" spans="1:16" x14ac:dyDescent="0.45">
      <c r="A29" s="41"/>
      <c r="B29" s="2"/>
      <c r="C29" s="3"/>
      <c r="D29" s="2"/>
      <c r="E29" s="4"/>
      <c r="F29" s="42"/>
    </row>
    <row r="30" spans="1:16" x14ac:dyDescent="0.45">
      <c r="A30" s="43" t="s">
        <v>8</v>
      </c>
      <c r="B30" s="5"/>
      <c r="C30" s="6"/>
      <c r="D30" s="5"/>
      <c r="E30" s="7"/>
      <c r="F30" s="42"/>
    </row>
    <row r="31" spans="1:16" x14ac:dyDescent="0.45">
      <c r="A31" s="41" t="s">
        <v>9</v>
      </c>
      <c r="B31" s="5">
        <f>B28*Arbeitspreis</f>
        <v>457.45000000000005</v>
      </c>
      <c r="C31" s="6">
        <f>D31+E31</f>
        <v>365.87666666666667</v>
      </c>
      <c r="D31" s="5">
        <f>D28*Arbeitspreis</f>
        <v>239.61666666666667</v>
      </c>
      <c r="E31" s="7">
        <f>E26*REGEArbeitspreis</f>
        <v>126.25999999999998</v>
      </c>
      <c r="F31" s="42"/>
      <c r="K31" s="55"/>
    </row>
    <row r="32" spans="1:16" x14ac:dyDescent="0.45">
      <c r="A32" s="41" t="s">
        <v>31</v>
      </c>
      <c r="B32" s="5">
        <f>B27*ArbeitspreisStrompreisbremse</f>
        <v>290</v>
      </c>
      <c r="C32" s="6">
        <f>D32+E32</f>
        <v>290</v>
      </c>
      <c r="D32" s="5">
        <f>D27*ArbeitspreisStrompreisbremse</f>
        <v>290</v>
      </c>
      <c r="E32" s="7"/>
      <c r="F32" s="42"/>
      <c r="K32" s="55"/>
    </row>
    <row r="33" spans="1:11" x14ac:dyDescent="0.45">
      <c r="A33" s="41" t="s">
        <v>11</v>
      </c>
      <c r="B33" s="5">
        <f>Grundpauschale</f>
        <v>39</v>
      </c>
      <c r="C33" s="6">
        <f>D33+E33</f>
        <v>39</v>
      </c>
      <c r="D33" s="5">
        <f>Grundpauschale</f>
        <v>39</v>
      </c>
      <c r="E33" s="7">
        <f>REGEGrundpauschale</f>
        <v>0</v>
      </c>
      <c r="F33" s="42"/>
      <c r="K33" s="55"/>
    </row>
    <row r="34" spans="1:11" x14ac:dyDescent="0.45">
      <c r="A34" s="43" t="s">
        <v>12</v>
      </c>
      <c r="B34" s="5"/>
      <c r="C34" s="6"/>
      <c r="D34" s="5"/>
      <c r="E34" s="7"/>
      <c r="F34" s="42"/>
    </row>
    <row r="35" spans="1:11" x14ac:dyDescent="0.45">
      <c r="A35" s="41" t="s">
        <v>17</v>
      </c>
      <c r="B35" s="5">
        <f>B26*Netzentgelt/100</f>
        <v>285.70000000000005</v>
      </c>
      <c r="C35" s="6">
        <f>D35+E35</f>
        <v>271.36400000000003</v>
      </c>
      <c r="D35" s="5">
        <f>D26*Netzentgelt/100</f>
        <v>228.56</v>
      </c>
      <c r="E35" s="7">
        <f>E26*REGENetzentgelt/100</f>
        <v>42.804000000000002</v>
      </c>
      <c r="F35" s="42"/>
      <c r="K35" s="55"/>
    </row>
    <row r="36" spans="1:11" x14ac:dyDescent="0.45">
      <c r="A36" s="43" t="s">
        <v>13</v>
      </c>
      <c r="B36" s="5"/>
      <c r="C36" s="6"/>
      <c r="D36" s="5"/>
      <c r="E36" s="7"/>
      <c r="F36" s="42"/>
      <c r="K36" s="55"/>
    </row>
    <row r="37" spans="1:11" x14ac:dyDescent="0.45">
      <c r="A37" s="41" t="s">
        <v>14</v>
      </c>
      <c r="B37" s="5">
        <f>B26*EAbgabe</f>
        <v>5</v>
      </c>
      <c r="C37" s="6">
        <f>D37+E37</f>
        <v>4</v>
      </c>
      <c r="D37" s="5">
        <f>D26*EAbgabe</f>
        <v>4</v>
      </c>
      <c r="E37" s="7">
        <v>0</v>
      </c>
      <c r="F37" s="42"/>
      <c r="K37" s="55"/>
    </row>
    <row r="38" spans="1:11" x14ac:dyDescent="0.45">
      <c r="A38" s="43" t="s">
        <v>19</v>
      </c>
      <c r="B38" s="5">
        <f>SUM(B31:B37)</f>
        <v>1077.1500000000001</v>
      </c>
      <c r="C38" s="6">
        <f>D38+E38</f>
        <v>970.2406666666667</v>
      </c>
      <c r="D38" s="5">
        <f>SUM(D31:D37)</f>
        <v>801.17666666666673</v>
      </c>
      <c r="E38" s="7">
        <f>SUM(E31:E37)</f>
        <v>169.06399999999996</v>
      </c>
      <c r="F38" s="42"/>
    </row>
    <row r="39" spans="1:11" x14ac:dyDescent="0.45">
      <c r="A39" s="41"/>
      <c r="B39" s="5"/>
      <c r="C39" s="6"/>
      <c r="D39" s="5"/>
      <c r="E39" s="7"/>
      <c r="F39" s="42"/>
    </row>
    <row r="40" spans="1:11" x14ac:dyDescent="0.45">
      <c r="A40" s="41" t="s">
        <v>15</v>
      </c>
      <c r="B40" s="5">
        <f>B38*USt</f>
        <v>215.43000000000004</v>
      </c>
      <c r="C40" s="6">
        <f>D40+E40</f>
        <v>194.04813333333334</v>
      </c>
      <c r="D40" s="5">
        <f>D38*USt</f>
        <v>160.23533333333336</v>
      </c>
      <c r="E40" s="5">
        <f>E38*USt</f>
        <v>33.812799999999996</v>
      </c>
      <c r="F40" s="42"/>
    </row>
    <row r="41" spans="1:11" x14ac:dyDescent="0.45">
      <c r="A41" s="43" t="s">
        <v>16</v>
      </c>
      <c r="B41" s="8">
        <f>SUM(B38:B40)</f>
        <v>1292.5800000000002</v>
      </c>
      <c r="C41" s="9">
        <f>D41+E41</f>
        <v>1164.2888</v>
      </c>
      <c r="D41" s="10">
        <f>SUM(D38:D40)</f>
        <v>961.41200000000003</v>
      </c>
      <c r="E41" s="11">
        <f>SUM(E38:E40)</f>
        <v>202.87679999999995</v>
      </c>
      <c r="F41" s="42"/>
    </row>
    <row r="42" spans="1:11" x14ac:dyDescent="0.45">
      <c r="A42" s="43"/>
      <c r="B42" s="8"/>
      <c r="C42" s="9"/>
      <c r="D42" s="10"/>
      <c r="E42" s="11"/>
      <c r="F42" s="42"/>
    </row>
    <row r="43" spans="1:11" x14ac:dyDescent="0.45">
      <c r="A43" s="43" t="s">
        <v>27</v>
      </c>
      <c r="B43" s="12">
        <f>B41/B26*100</f>
        <v>25.851600000000001</v>
      </c>
      <c r="C43" s="13">
        <f>C41/C26*100</f>
        <v>23.285775999999998</v>
      </c>
      <c r="D43" s="14">
        <f>D41/D26*100</f>
        <v>24.035299999999999</v>
      </c>
      <c r="E43" s="15">
        <f>E41/E26*100</f>
        <v>20.287679999999995</v>
      </c>
      <c r="F43" s="42" t="s">
        <v>44</v>
      </c>
    </row>
    <row r="44" spans="1:11" x14ac:dyDescent="0.45">
      <c r="A44" s="41"/>
      <c r="B44" s="5"/>
      <c r="C44" s="6"/>
      <c r="D44" s="5"/>
      <c r="E44" s="7"/>
      <c r="F44" s="42"/>
    </row>
    <row r="45" spans="1:11" ht="14.65" thickBot="1" x14ac:dyDescent="0.5">
      <c r="A45" s="44" t="str">
        <f>CONCATENATE(IF(B45&gt;0,"Ersparnis","Mehrkosten")," brutto/Jahr")</f>
        <v>Ersparnis brutto/Jahr</v>
      </c>
      <c r="B45" s="16">
        <f>B41-C41</f>
        <v>128.29120000000012</v>
      </c>
      <c r="C45" s="17"/>
      <c r="D45" s="18"/>
      <c r="E45" s="19"/>
      <c r="F45" s="45"/>
    </row>
    <row r="46" spans="1:11" x14ac:dyDescent="0.45">
      <c r="B46" s="20"/>
      <c r="C46" s="20"/>
      <c r="D46" s="20"/>
      <c r="E46" s="20"/>
    </row>
    <row r="48" spans="1:11" ht="14.65" thickBot="1" x14ac:dyDescent="0.5">
      <c r="A48" s="34" t="s">
        <v>34</v>
      </c>
    </row>
    <row r="49" spans="1:5" ht="14.65" thickBot="1" x14ac:dyDescent="0.5">
      <c r="A49" s="35"/>
      <c r="B49" s="46" t="s">
        <v>4</v>
      </c>
      <c r="C49" s="47" t="s">
        <v>28</v>
      </c>
      <c r="D49" s="46" t="s">
        <v>29</v>
      </c>
      <c r="E49" s="47" t="s">
        <v>30</v>
      </c>
    </row>
    <row r="50" spans="1:5" x14ac:dyDescent="0.45">
      <c r="A50" s="41" t="s">
        <v>35</v>
      </c>
      <c r="B50" s="22">
        <f t="shared" ref="B50:C50" si="0">D50/1.2</f>
        <v>0.26666666666666666</v>
      </c>
      <c r="C50" s="7">
        <f t="shared" si="0"/>
        <v>24</v>
      </c>
      <c r="D50" s="22">
        <v>0.32</v>
      </c>
      <c r="E50" s="7">
        <f>2.4*12</f>
        <v>28.799999999999997</v>
      </c>
    </row>
    <row r="51" spans="1:5" x14ac:dyDescent="0.45">
      <c r="A51" s="41" t="s">
        <v>36</v>
      </c>
      <c r="B51" s="22">
        <f t="shared" ref="B51" si="1">D51/1.2</f>
        <v>0.315</v>
      </c>
      <c r="C51" s="7">
        <f t="shared" ref="C51" si="2">E51/1.2</f>
        <v>24</v>
      </c>
      <c r="D51" s="22">
        <v>0.378</v>
      </c>
      <c r="E51" s="7">
        <f>2.4*12</f>
        <v>28.799999999999997</v>
      </c>
    </row>
    <row r="52" spans="1:5" ht="14.65" thickBot="1" x14ac:dyDescent="0.5">
      <c r="A52" s="48" t="s">
        <v>37</v>
      </c>
      <c r="B52" s="23">
        <f t="shared" ref="B52" si="3">D52/1.2</f>
        <v>0.33</v>
      </c>
      <c r="C52" s="19">
        <f t="shared" ref="C52" si="4">E52/1.2</f>
        <v>29.916666666666668</v>
      </c>
      <c r="D52" s="23">
        <v>0.39600000000000002</v>
      </c>
      <c r="E52" s="19">
        <f>3.59*10</f>
        <v>35.9</v>
      </c>
    </row>
    <row r="53" spans="1:5" x14ac:dyDescent="0.45">
      <c r="B53" s="21"/>
      <c r="C53" s="20"/>
    </row>
    <row r="56" spans="1:5" x14ac:dyDescent="0.45">
      <c r="A56" s="49" t="s">
        <v>4</v>
      </c>
      <c r="B56" s="26">
        <f>B7/120</f>
        <v>0.21783333333333335</v>
      </c>
      <c r="C56" s="49" t="s">
        <v>10</v>
      </c>
    </row>
    <row r="57" spans="1:5" x14ac:dyDescent="0.45">
      <c r="A57" s="49" t="s">
        <v>47</v>
      </c>
      <c r="B57" s="26">
        <f>(B14+B16)/100</f>
        <v>0.12625999999999998</v>
      </c>
      <c r="C57" s="49" t="s">
        <v>10</v>
      </c>
    </row>
    <row r="58" spans="1:5" x14ac:dyDescent="0.45">
      <c r="A58" s="49"/>
      <c r="B58" s="49"/>
      <c r="C58" s="49"/>
    </row>
    <row r="59" spans="1:5" x14ac:dyDescent="0.45">
      <c r="A59" s="49" t="s">
        <v>40</v>
      </c>
      <c r="B59" s="26">
        <f>B8*12</f>
        <v>46.8</v>
      </c>
      <c r="C59" s="49" t="s">
        <v>1</v>
      </c>
    </row>
    <row r="60" spans="1:5" x14ac:dyDescent="0.45">
      <c r="A60" s="49" t="s">
        <v>41</v>
      </c>
      <c r="B60" s="50">
        <f>B59/1.2</f>
        <v>39</v>
      </c>
      <c r="C60" s="49" t="s">
        <v>1</v>
      </c>
    </row>
    <row r="61" spans="1:5" x14ac:dyDescent="0.45">
      <c r="A61" s="49"/>
      <c r="B61" s="26"/>
      <c r="C61" s="49"/>
    </row>
    <row r="62" spans="1:5" x14ac:dyDescent="0.45">
      <c r="A62" s="49" t="s">
        <v>31</v>
      </c>
      <c r="B62" s="26">
        <f>MAX(0.1,Arbeitspreis-0.3)</f>
        <v>0.1</v>
      </c>
      <c r="C62" s="49" t="s">
        <v>10</v>
      </c>
    </row>
    <row r="63" spans="1:5" x14ac:dyDescent="0.45">
      <c r="A63" s="49"/>
      <c r="B63" s="49"/>
      <c r="C63" s="49"/>
    </row>
    <row r="64" spans="1:5" x14ac:dyDescent="0.45">
      <c r="A64" s="49" t="s">
        <v>20</v>
      </c>
      <c r="B64" s="51">
        <v>1E-3</v>
      </c>
      <c r="C64" s="49" t="s">
        <v>10</v>
      </c>
    </row>
    <row r="65" spans="1:3" x14ac:dyDescent="0.45">
      <c r="A65" s="49" t="s">
        <v>18</v>
      </c>
      <c r="B65" s="52">
        <v>0.2</v>
      </c>
      <c r="C65" s="49"/>
    </row>
    <row r="66" spans="1:3" x14ac:dyDescent="0.45">
      <c r="A66" s="49" t="s">
        <v>22</v>
      </c>
      <c r="B66" s="51">
        <v>5.1200000000000002E-2</v>
      </c>
      <c r="C66" s="49" t="s">
        <v>10</v>
      </c>
    </row>
    <row r="67" spans="1:3" x14ac:dyDescent="0.45">
      <c r="A67" s="49"/>
      <c r="B67" s="51"/>
      <c r="C67" s="49"/>
    </row>
    <row r="68" spans="1:3" x14ac:dyDescent="0.45">
      <c r="A68" s="49" t="s">
        <v>23</v>
      </c>
      <c r="B68" s="49">
        <v>5.94E-3</v>
      </c>
      <c r="C68" s="49" t="s">
        <v>10</v>
      </c>
    </row>
  </sheetData>
  <sheetProtection algorithmName="SHA-512" hashValue="2td6EZ9ImTYoOWFuoQio1/SuZu6BMOEV5zdtxDpHdimNp7lTdv6uqb9D2tEakPu59gKNsPNgyhZTvztanSTyvw==" saltValue="xddizPDE0V3D4mfYCvPPAw==" spinCount="100000" sheet="1" objects="1" scenarios="1"/>
  <mergeCells count="2">
    <mergeCell ref="A1:F1"/>
    <mergeCell ref="A4:C4"/>
  </mergeCells>
  <conditionalFormatting sqref="A21:C21">
    <cfRule type="expression" dxfId="3" priority="1">
      <formula>$B$21&lt;0</formula>
    </cfRule>
    <cfRule type="expression" dxfId="2" priority="2">
      <formula>A21&gt;0</formula>
    </cfRule>
  </conditionalFormatting>
  <conditionalFormatting sqref="B45">
    <cfRule type="cellIs" dxfId="1" priority="3" operator="lessThan">
      <formula>0</formula>
    </cfRule>
    <cfRule type="cellIs" dxfId="0" priority="4" operator="greaterThan">
      <formula>0</formula>
    </cfRule>
  </conditionalFormatting>
  <hyperlinks>
    <hyperlink ref="A14" r:id="rId1" display="Marktpreis (OeMag)" xr:uid="{265E6D1C-0871-4A90-8981-BF9A46046B1D}"/>
  </hyperlinks>
  <pageMargins left="0.7" right="0.7" top="0.78740157499999996" bottom="0.78740157499999996" header="0.3" footer="0.3"/>
  <pageSetup paperSize="9" scale="71" fitToHeight="0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11</vt:i4>
      </vt:variant>
    </vt:vector>
  </HeadingPairs>
  <TitlesOfParts>
    <vt:vector size="12" baseType="lpstr">
      <vt:lpstr>Berechnung</vt:lpstr>
      <vt:lpstr>Arbeitspreis</vt:lpstr>
      <vt:lpstr>ArbeitspreisStrompreisbremse</vt:lpstr>
      <vt:lpstr>EAbgabe</vt:lpstr>
      <vt:lpstr>Grundpauschale</vt:lpstr>
      <vt:lpstr>jahresverbrauch</vt:lpstr>
      <vt:lpstr>Netzentgelt</vt:lpstr>
      <vt:lpstr>REGEAnteil</vt:lpstr>
      <vt:lpstr>REGEArbeitspreis</vt:lpstr>
      <vt:lpstr>REGEGrundpauschale</vt:lpstr>
      <vt:lpstr>REGENetzentgelt</vt:lpstr>
      <vt:lpstr>USt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Stürmer Peter</dc:creator>
  <cp:lastModifiedBy>Stürmer Peter</cp:lastModifiedBy>
  <cp:lastPrinted>2023-07-24T12:07:24Z</cp:lastPrinted>
  <dcterms:created xsi:type="dcterms:W3CDTF">2022-08-21T13:44:41Z</dcterms:created>
  <dcterms:modified xsi:type="dcterms:W3CDTF">2024-01-29T19:46:43Z</dcterms:modified>
</cp:coreProperties>
</file>